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205" yWindow="120" windowWidth="20730" windowHeight="11640"/>
  </bookViews>
  <sheets>
    <sheet name="Cost-benefit analysis-brucella" sheetId="3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4" i="3" l="1"/>
  <c r="F54" i="3"/>
  <c r="G54" i="3"/>
  <c r="H54" i="3"/>
  <c r="I54" i="3"/>
  <c r="J54" i="3"/>
  <c r="K54" i="3"/>
  <c r="L54" i="3"/>
  <c r="M54" i="3"/>
  <c r="D54" i="3"/>
  <c r="D53" i="3"/>
  <c r="B53" i="3" s="1"/>
  <c r="B37" i="3"/>
  <c r="B48" i="3"/>
  <c r="D52" i="3" s="1"/>
  <c r="B43" i="3"/>
  <c r="F55" i="3" s="1"/>
  <c r="B27" i="3"/>
  <c r="B19" i="3"/>
  <c r="B31" i="3" s="1"/>
  <c r="I61" i="3" l="1"/>
  <c r="M61" i="3"/>
  <c r="F61" i="3"/>
  <c r="J61" i="3"/>
  <c r="E61" i="3"/>
  <c r="G61" i="3"/>
  <c r="K61" i="3"/>
  <c r="H61" i="3"/>
  <c r="L61" i="3"/>
  <c r="M55" i="3"/>
  <c r="I55" i="3"/>
  <c r="E55" i="3"/>
  <c r="L55" i="3"/>
  <c r="H55" i="3"/>
  <c r="K55" i="3"/>
  <c r="G55" i="3"/>
  <c r="C53" i="3"/>
  <c r="D55" i="3"/>
  <c r="J55" i="3"/>
  <c r="B21" i="3" l="1"/>
  <c r="B22" i="3" s="1"/>
  <c r="F56" i="3" l="1"/>
  <c r="J56" i="3"/>
  <c r="E56" i="3"/>
  <c r="I60" i="3"/>
  <c r="M60" i="3"/>
  <c r="G56" i="3"/>
  <c r="K56" i="3"/>
  <c r="J60" i="3"/>
  <c r="F60" i="3"/>
  <c r="H56" i="3"/>
  <c r="L56" i="3"/>
  <c r="G60" i="3"/>
  <c r="K60" i="3"/>
  <c r="I56" i="3"/>
  <c r="M56" i="3"/>
  <c r="H60" i="3"/>
  <c r="L60" i="3"/>
  <c r="E62" i="3" l="1"/>
  <c r="L62" i="3"/>
  <c r="B55" i="3"/>
  <c r="C55" i="3"/>
  <c r="J57" i="3"/>
  <c r="F57" i="3"/>
  <c r="C52" i="3"/>
  <c r="J62" i="3" l="1"/>
  <c r="H62" i="3"/>
  <c r="B61" i="3"/>
  <c r="I62" i="3"/>
  <c r="C61" i="3"/>
  <c r="M62" i="3"/>
  <c r="C54" i="3"/>
  <c r="H57" i="3"/>
  <c r="L57" i="3"/>
  <c r="L65" i="3" s="1"/>
  <c r="G62" i="3"/>
  <c r="K62" i="3"/>
  <c r="B52" i="3"/>
  <c r="M57" i="3"/>
  <c r="F62" i="3"/>
  <c r="J65" i="3"/>
  <c r="D57" i="3"/>
  <c r="B54" i="3"/>
  <c r="E57" i="3"/>
  <c r="E65" i="3" s="1"/>
  <c r="G57" i="3"/>
  <c r="I57" i="3"/>
  <c r="K57" i="3"/>
  <c r="I65" i="3" l="1"/>
  <c r="H65" i="3"/>
  <c r="M65" i="3"/>
  <c r="G65" i="3"/>
  <c r="K65" i="3"/>
  <c r="C60" i="3"/>
  <c r="C62" i="3" s="1"/>
  <c r="B60" i="3"/>
  <c r="B56" i="3"/>
  <c r="C56" i="3"/>
  <c r="C57" i="3" s="1"/>
  <c r="D65" i="3"/>
  <c r="B57" i="3"/>
  <c r="B62" i="3"/>
  <c r="F65" i="3"/>
  <c r="B67" i="3" l="1"/>
  <c r="C65" i="3"/>
  <c r="B66" i="3"/>
  <c r="B65" i="3"/>
</calcChain>
</file>

<file path=xl/comments1.xml><?xml version="1.0" encoding="utf-8"?>
<comments xmlns="http://schemas.openxmlformats.org/spreadsheetml/2006/main">
  <authors>
    <author>Evan</author>
    <author>Evan Sergeant</author>
  </authors>
  <commentList>
    <comment ref="B52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Excel NPV function used to calculate discounted value for years 2 to 10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Total discounted costs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Total costs without discounting</t>
        </r>
      </text>
    </comment>
    <comment ref="F60" authorId="1">
      <text>
        <r>
          <rPr>
            <b/>
            <sz val="9"/>
            <color indexed="81"/>
            <rFont val="Tahoma"/>
            <family val="2"/>
          </rPr>
          <t>Evan Sergeant:</t>
        </r>
        <r>
          <rPr>
            <sz val="9"/>
            <color indexed="81"/>
            <rFont val="Tahoma"/>
            <family val="2"/>
          </rPr>
          <t xml:space="preserve">
No extra calves born until year 2 and sold in year 3
</t>
        </r>
      </text>
    </comment>
    <comment ref="E61" authorId="1">
      <text>
        <r>
          <rPr>
            <b/>
            <sz val="9"/>
            <color indexed="81"/>
            <rFont val="Tahoma"/>
            <family val="2"/>
          </rPr>
          <t>Evan Sergeant:</t>
        </r>
        <r>
          <rPr>
            <sz val="9"/>
            <color indexed="81"/>
            <rFont val="Tahoma"/>
            <family val="2"/>
          </rPr>
          <t xml:space="preserve">
First extra calves born (and extra milk produced) in Year 2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Total discounted benefits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Total benefits without discounting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Costs much higher than benefits in the first year because of the initial expenses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By third year benefits greater than costs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Total benefits - Total costs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Excel IRR function used to calculate internal rate of return for the annual benefits across the 10 years of the program</t>
        </r>
      </text>
    </comment>
  </commentList>
</comments>
</file>

<file path=xl/sharedStrings.xml><?xml version="1.0" encoding="utf-8"?>
<sst xmlns="http://schemas.openxmlformats.org/spreadsheetml/2006/main" count="91" uniqueCount="91">
  <si>
    <t>Total discounted</t>
  </si>
  <si>
    <t>Project costs</t>
  </si>
  <si>
    <t>Project benefits</t>
  </si>
  <si>
    <t>Feed for additional survival of calves?</t>
  </si>
  <si>
    <t>Total benefits</t>
  </si>
  <si>
    <t>Total costs</t>
  </si>
  <si>
    <t>Internal Rate of Return</t>
  </si>
  <si>
    <t>Benefit Cost Ratio (Return on Investment)</t>
  </si>
  <si>
    <t>Discount rate</t>
  </si>
  <si>
    <t>Inputs</t>
  </si>
  <si>
    <t xml:space="preserve">Cash from additional calves sold </t>
  </si>
  <si>
    <t>Vaccination</t>
  </si>
  <si>
    <t>Vaccination cost (per vaccination)</t>
  </si>
  <si>
    <t>Total (no discount)</t>
  </si>
  <si>
    <t>Net Present Value (Benefits - Costs)</t>
  </si>
  <si>
    <t>Other benefits such as cash from extra milk</t>
  </si>
  <si>
    <t>Estimated number of lost calves</t>
  </si>
  <si>
    <t>Number of cows in the area</t>
  </si>
  <si>
    <t>This is the estimated number of breeding cows present</t>
  </si>
  <si>
    <t>Pregnancy rate among cows</t>
  </si>
  <si>
    <t>= number of cows * % pregnant * % that abort</t>
  </si>
  <si>
    <t>Expected % mortality before sale</t>
  </si>
  <si>
    <t>This is the percentage of calves that would normally die before being sold (for whatever reason)</t>
  </si>
  <si>
    <t>Number of calves that would die before sale</t>
  </si>
  <si>
    <t>= number not born (aborted) * % that die</t>
  </si>
  <si>
    <t>= number not born (aborted) - number that would die anyway</t>
  </si>
  <si>
    <t>Loss per lost calf</t>
  </si>
  <si>
    <t>Expected sale price (per calf)</t>
  </si>
  <si>
    <t>This is what a farmer would expect to sell the calf for when it is ready to be sold (for example at 1 year old)</t>
  </si>
  <si>
    <t>Cost of rearing per calf (veterinary treatments, feed or other costs)</t>
  </si>
  <si>
    <t>This is the total amount spent on a calf to get it to sale age and includes animal health treatments (drench, vaccines), feed and other costs</t>
  </si>
  <si>
    <t>Lost milk production from aborted cows (per cow)</t>
  </si>
  <si>
    <t>This is the value of lost milk production from cows that aborted</t>
  </si>
  <si>
    <t>Total loss per lost calf</t>
  </si>
  <si>
    <t>= sale price - rearing costs</t>
  </si>
  <si>
    <t>Assumed abortion rate after vaccination</t>
  </si>
  <si>
    <t xml:space="preserve">Estimated calves saved by vaccination </t>
  </si>
  <si>
    <t>Estimated abortion rate from brucellosis</t>
  </si>
  <si>
    <t>Total loss from lost milk production</t>
  </si>
  <si>
    <t xml:space="preserve">Lost milk production </t>
  </si>
  <si>
    <t>Program Costs</t>
  </si>
  <si>
    <t>Disease costs</t>
  </si>
  <si>
    <t>% of calves vaccinated (for vaccinating heifers)</t>
  </si>
  <si>
    <t>This is the % of calves that are vaccinated (heifers)</t>
  </si>
  <si>
    <t>This is the cost of vaccination including vaccine purchase and administration</t>
  </si>
  <si>
    <t>Cost of vaccination</t>
  </si>
  <si>
    <t>= number of cows * pregnancy rate * % calves vaccinated * vaccination cost</t>
  </si>
  <si>
    <t>Staff operating costs</t>
  </si>
  <si>
    <t>Additional staff</t>
  </si>
  <si>
    <t>The number of extra staff required to do the vaccinating and run the program</t>
  </si>
  <si>
    <t>Staff salary (per person)</t>
  </si>
  <si>
    <t>Average salary for each extra staff member</t>
  </si>
  <si>
    <t>Staff operating/travel (per person)</t>
  </si>
  <si>
    <t>average operating costs for each extra staff member</t>
  </si>
  <si>
    <t xml:space="preserve">Total staff operating </t>
  </si>
  <si>
    <t>= additional staff * (salary + operating cost)</t>
  </si>
  <si>
    <t>Initial costs</t>
  </si>
  <si>
    <t>Investments in cold chain</t>
  </si>
  <si>
    <t>Cost of refrigeration and cold chain (eskies, ice bricks, etc)</t>
  </si>
  <si>
    <t>Staff training</t>
  </si>
  <si>
    <t>cost of staff training on vaccination</t>
  </si>
  <si>
    <t>Total initial costs</t>
  </si>
  <si>
    <t>= cold chain investment + staff training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</si>
  <si>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</si>
  <si>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</si>
  <si>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</si>
  <si>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</si>
  <si>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</si>
  <si>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</si>
  <si>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</si>
  <si>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</si>
  <si>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</si>
  <si>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</si>
  <si>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Vaccination</t>
  </si>
  <si>
    <t>Ongoing variable costs (salaries, operating)</t>
  </si>
  <si>
    <t xml:space="preserve">Total Number of calves saved by vaccination </t>
  </si>
  <si>
    <t>Enter appropriate values in the orange cells</t>
  </si>
  <si>
    <t>Most of these should be familiar from previous exercises</t>
  </si>
  <si>
    <t>Vaccinate all cows in first year then only a percentage of calves to be kept as replacement heifers</t>
  </si>
  <si>
    <t>All amounts below in IDR millions</t>
  </si>
  <si>
    <t>Investments in cold chain and training (year 1 only)</t>
  </si>
  <si>
    <t>Initial vaccination (all cows) (year 1 only)</t>
  </si>
  <si>
    <t>Assumes that pregnancy rate remains unchanged by vaccination</t>
  </si>
  <si>
    <t>This is the percentage of pregnant cows that abort or lose their calf due to brucellosis</t>
  </si>
  <si>
    <t>The espected abortion percentage after vaccination</t>
  </si>
  <si>
    <t>For simplicity all costs and benefits are assumed to be constant after the first year</t>
  </si>
  <si>
    <t>= lost production per cow by number of cows aborting</t>
  </si>
  <si>
    <t>This is the assumed discount (depreciation) rate</t>
  </si>
  <si>
    <t>Assumptions</t>
  </si>
  <si>
    <t>Note: This sheet is protected to prevent accidental changes to the formulae. If you want to make changes you will need to unprotect the sheet</t>
  </si>
  <si>
    <t>Brucellosis control program (dairy)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</si>
</sst>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"/>
    <numFmt numFmtId="166" formatCode="_(* #,##0_);_(* \(#,##0\);_(* &quot;-&quot;??_);_(@_)"/>
    <numFmt numFmtId="167" formatCode="[$IDR]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rgb="FF7F7F7F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8" borderId="1" applyNumberFormat="0" applyAlignment="0" applyProtection="0"/>
    <xf numFmtId="0" fontId="12" fillId="9" borderId="1" applyNumberFormat="0" applyAlignment="0" applyProtection="0"/>
  </cellStyleXfs>
  <cellXfs count="61">
    <xf numFmtId="0" fontId="0" fillId="0" borderId="0" xfId="0"/>
    <xf numFmtId="164" fontId="0" fillId="0" borderId="0" xfId="1" applyFont="1"/>
    <xf numFmtId="0" fontId="2" fillId="0" borderId="0" xfId="0" applyFont="1"/>
    <xf numFmtId="4" fontId="0" fillId="0" borderId="0" xfId="1" applyNumberFormat="1" applyFont="1"/>
    <xf numFmtId="0" fontId="3" fillId="2" borderId="0" xfId="2"/>
    <xf numFmtId="165" fontId="3" fillId="2" borderId="0" xfId="2" applyNumberFormat="1"/>
    <xf numFmtId="0" fontId="7" fillId="0" borderId="0" xfId="0" applyFont="1"/>
    <xf numFmtId="0" fontId="0" fillId="3" borderId="0" xfId="0" applyFill="1"/>
    <xf numFmtId="3" fontId="0" fillId="3" borderId="0" xfId="1" applyNumberFormat="1" applyFont="1" applyFill="1"/>
    <xf numFmtId="4" fontId="0" fillId="4" borderId="0" xfId="1" applyNumberFormat="1" applyFont="1" applyFill="1"/>
    <xf numFmtId="3" fontId="0" fillId="4" borderId="0" xfId="1" applyNumberFormat="1" applyFont="1" applyFill="1"/>
    <xf numFmtId="0" fontId="0" fillId="4" borderId="0" xfId="0" applyFill="1"/>
    <xf numFmtId="0" fontId="2" fillId="5" borderId="0" xfId="0" applyFont="1" applyFill="1"/>
    <xf numFmtId="3" fontId="2" fillId="5" borderId="0" xfId="1" applyNumberFormat="1" applyFont="1" applyFill="1"/>
    <xf numFmtId="4" fontId="2" fillId="5" borderId="0" xfId="1" applyNumberFormat="1" applyFont="1" applyFill="1"/>
    <xf numFmtId="3" fontId="3" fillId="2" borderId="0" xfId="2" applyNumberFormat="1"/>
    <xf numFmtId="3" fontId="2" fillId="6" borderId="0" xfId="1" applyNumberFormat="1" applyFont="1" applyFill="1"/>
    <xf numFmtId="0" fontId="2" fillId="7" borderId="0" xfId="0" applyFont="1" applyFill="1"/>
    <xf numFmtId="3" fontId="2" fillId="7" borderId="0" xfId="0" applyNumberFormat="1" applyFont="1" applyFill="1"/>
    <xf numFmtId="9" fontId="8" fillId="0" borderId="0" xfId="0" applyNumberFormat="1" applyFont="1"/>
    <xf numFmtId="166" fontId="8" fillId="0" borderId="0" xfId="1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0" fillId="0" borderId="0" xfId="0" applyFill="1"/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12" fillId="9" borderId="1" xfId="13" applyNumberFormat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9" fontId="11" fillId="8" borderId="1" xfId="12" applyNumberFormat="1" applyAlignment="1" applyProtection="1">
      <alignment horizontal="center" vertical="center"/>
      <protection locked="0"/>
    </xf>
    <xf numFmtId="9" fontId="11" fillId="8" borderId="1" xfId="11" applyFont="1" applyFill="1" applyBorder="1" applyAlignment="1" applyProtection="1">
      <alignment horizontal="center" vertical="center"/>
      <protection locked="0"/>
    </xf>
    <xf numFmtId="9" fontId="11" fillId="8" borderId="3" xfId="12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1" fontId="12" fillId="9" borderId="1" xfId="13" applyNumberFormat="1" applyAlignment="1">
      <alignment horizontal="center" vertical="center"/>
    </xf>
    <xf numFmtId="0" fontId="2" fillId="0" borderId="0" xfId="0" applyFont="1" applyBorder="1" applyAlignment="1" applyProtection="1">
      <alignment wrapText="1"/>
      <protection locked="0"/>
    </xf>
    <xf numFmtId="0" fontId="0" fillId="0" borderId="4" xfId="0" applyBorder="1"/>
    <xf numFmtId="0" fontId="0" fillId="0" borderId="5" xfId="0" applyBorder="1" applyProtection="1">
      <protection locked="0"/>
    </xf>
    <xf numFmtId="167" fontId="11" fillId="8" borderId="2" xfId="12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wrapText="1"/>
      <protection locked="0"/>
    </xf>
    <xf numFmtId="167" fontId="11" fillId="8" borderId="6" xfId="12" applyNumberForma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7" fontId="12" fillId="9" borderId="1" xfId="13" applyNumberFormat="1" applyAlignment="1">
      <alignment horizontal="center" vertical="center"/>
    </xf>
    <xf numFmtId="0" fontId="0" fillId="0" borderId="7" xfId="0" applyBorder="1" applyProtection="1">
      <protection locked="0"/>
    </xf>
    <xf numFmtId="167" fontId="11" fillId="8" borderId="8" xfId="12" applyNumberFormat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1" fillId="8" borderId="1" xfId="12" applyAlignment="1" applyProtection="1">
      <alignment horizontal="center" vertical="center"/>
      <protection locked="0"/>
    </xf>
    <xf numFmtId="167" fontId="11" fillId="8" borderId="9" xfId="12" applyNumberFormat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10" xfId="0" applyFont="1" applyBorder="1"/>
    <xf numFmtId="0" fontId="0" fillId="0" borderId="0" xfId="0" applyBorder="1" applyProtection="1">
      <protection locked="0"/>
    </xf>
    <xf numFmtId="167" fontId="11" fillId="8" borderId="11" xfId="12" applyNumberFormat="1" applyBorder="1" applyAlignment="1" applyProtection="1">
      <alignment horizontal="center" vertical="center"/>
      <protection locked="0"/>
    </xf>
    <xf numFmtId="0" fontId="0" fillId="4" borderId="0" xfId="0" quotePrefix="1" applyFill="1" applyAlignment="1" applyProtection="1">
      <protection locked="0"/>
    </xf>
    <xf numFmtId="3" fontId="11" fillId="8" borderId="1" xfId="1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" fontId="0" fillId="10" borderId="0" xfId="1" applyNumberFormat="1" applyFont="1" applyFill="1"/>
    <xf numFmtId="0" fontId="15" fillId="0" borderId="0" xfId="0" applyFont="1"/>
    <xf numFmtId="0" fontId="7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quotePrefix="1" applyProtection="1">
      <protection locked="0"/>
    </xf>
    <xf numFmtId="0" fontId="6" fillId="0" borderId="0" xfId="0" applyFont="1" applyProtection="1">
      <protection locked="0"/>
    </xf>
    <xf numFmtId="0" fontId="14" fillId="0" borderId="0" xfId="0" applyFont="1" applyProtection="1">
      <protection locked="0"/>
    </xf>
  </cellXfs>
  <cellStyles count="14">
    <cellStyle name="Accent2" xfId="2" builtinId="33"/>
    <cellStyle name="Calculation" xfId="13" builtinId="22"/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Input" xfId="12" builtinId="20"/>
    <cellStyle name="Normal" xfId="0" builtinId="0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9"/>
  <sheetViews>
    <sheetView tabSelected="1" topLeftCell="A49" workbookViewId="0">
      <selection activeCell="B66" sqref="B66"/>
    </sheetView>
  </sheetViews>
  <sheetFormatPr defaultColWidth="8.85546875" defaultRowHeight="15" x14ac:dyDescent="0.25"/>
  <cols>
    <col min="1" max="1" width="48.85546875" customWidth="1"/>
    <col min="2" max="2" width="16.7109375" customWidth="1"/>
    <col min="3" max="3" width="17.85546875" bestFit="1" customWidth="1"/>
    <col min="4" max="13" width="9.28515625" customWidth="1"/>
  </cols>
  <sheetData>
    <row r="1" spans="1:8" ht="23.25" x14ac:dyDescent="0.35">
      <c r="A1" s="59" t="s">
        <v>90</v>
      </c>
    </row>
    <row r="2" spans="1:8" x14ac:dyDescent="0.25">
      <c r="A2" s="25"/>
    </row>
    <row r="3" spans="1:8" x14ac:dyDescent="0.25">
      <c r="A3" s="60" t="s">
        <v>89</v>
      </c>
    </row>
    <row r="4" spans="1:8" x14ac:dyDescent="0.25">
      <c r="A4" s="25"/>
    </row>
    <row r="5" spans="1:8" x14ac:dyDescent="0.25">
      <c r="A5" s="39" t="s">
        <v>88</v>
      </c>
    </row>
    <row r="6" spans="1:8" x14ac:dyDescent="0.25">
      <c r="A6" s="25" t="s">
        <v>76</v>
      </c>
    </row>
    <row r="7" spans="1:8" x14ac:dyDescent="0.25">
      <c r="A7" s="25" t="s">
        <v>77</v>
      </c>
    </row>
    <row r="8" spans="1:8" x14ac:dyDescent="0.25">
      <c r="A8" s="25" t="s">
        <v>78</v>
      </c>
      <c r="H8" s="57"/>
    </row>
    <row r="9" spans="1:8" x14ac:dyDescent="0.25">
      <c r="A9" s="25" t="s">
        <v>85</v>
      </c>
    </row>
    <row r="10" spans="1:8" x14ac:dyDescent="0.25">
      <c r="A10" s="25"/>
    </row>
    <row r="11" spans="1:8" ht="21" x14ac:dyDescent="0.35">
      <c r="A11" s="56" t="s">
        <v>9</v>
      </c>
    </row>
    <row r="12" spans="1:8" x14ac:dyDescent="0.25">
      <c r="A12" s="39" t="s">
        <v>8</v>
      </c>
      <c r="B12" s="29">
        <v>7.0000000000000007E-2</v>
      </c>
      <c r="C12" s="25" t="s">
        <v>87</v>
      </c>
    </row>
    <row r="13" spans="1:8" x14ac:dyDescent="0.25">
      <c r="A13" s="33" t="s">
        <v>41</v>
      </c>
      <c r="C13" s="25"/>
    </row>
    <row r="14" spans="1:8" x14ac:dyDescent="0.25">
      <c r="A14" s="24" t="s">
        <v>16</v>
      </c>
      <c r="C14" s="25"/>
    </row>
    <row r="15" spans="1:8" x14ac:dyDescent="0.25">
      <c r="A15" s="25" t="s">
        <v>17</v>
      </c>
      <c r="B15" s="52">
        <v>100000</v>
      </c>
      <c r="C15" s="57" t="s">
        <v>18</v>
      </c>
      <c r="H15" s="57"/>
    </row>
    <row r="16" spans="1:8" x14ac:dyDescent="0.25">
      <c r="A16" s="25" t="s">
        <v>19</v>
      </c>
      <c r="B16" s="29">
        <v>0.6</v>
      </c>
      <c r="C16" s="25" t="s">
        <v>82</v>
      </c>
      <c r="H16" s="57"/>
    </row>
    <row r="17" spans="1:6" x14ac:dyDescent="0.25">
      <c r="A17" s="25" t="s">
        <v>37</v>
      </c>
      <c r="B17" s="29">
        <v>0.05</v>
      </c>
      <c r="C17" s="57" t="s">
        <v>83</v>
      </c>
    </row>
    <row r="18" spans="1:6" x14ac:dyDescent="0.25">
      <c r="A18" s="25" t="s">
        <v>35</v>
      </c>
      <c r="B18" s="29">
        <v>0</v>
      </c>
      <c r="C18" s="25" t="s">
        <v>84</v>
      </c>
    </row>
    <row r="19" spans="1:6" x14ac:dyDescent="0.25">
      <c r="A19" s="25" t="s">
        <v>36</v>
      </c>
      <c r="B19" s="26">
        <f>B15*B16*(B17-B18)</f>
        <v>3000</v>
      </c>
      <c r="C19" s="51" t="s">
        <v>20</v>
      </c>
    </row>
    <row r="20" spans="1:6" x14ac:dyDescent="0.25">
      <c r="A20" s="25" t="s">
        <v>21</v>
      </c>
      <c r="B20" s="30">
        <v>0.01</v>
      </c>
      <c r="C20" s="57" t="s">
        <v>22</v>
      </c>
    </row>
    <row r="21" spans="1:6" x14ac:dyDescent="0.25">
      <c r="A21" s="31" t="s">
        <v>23</v>
      </c>
      <c r="B21" s="32">
        <f>B20*B19</f>
        <v>30</v>
      </c>
      <c r="C21" s="51" t="s">
        <v>24</v>
      </c>
    </row>
    <row r="22" spans="1:6" x14ac:dyDescent="0.25">
      <c r="A22" s="33" t="s">
        <v>75</v>
      </c>
      <c r="B22" s="32">
        <f>B19-B21</f>
        <v>2970</v>
      </c>
      <c r="C22" s="51" t="s">
        <v>25</v>
      </c>
    </row>
    <row r="23" spans="1:6" x14ac:dyDescent="0.25">
      <c r="A23" s="25"/>
      <c r="C23" s="25"/>
    </row>
    <row r="24" spans="1:6" x14ac:dyDescent="0.25">
      <c r="A24" s="24" t="s">
        <v>26</v>
      </c>
      <c r="B24" s="34"/>
      <c r="C24" s="25"/>
    </row>
    <row r="25" spans="1:6" x14ac:dyDescent="0.25">
      <c r="A25" s="35" t="s">
        <v>27</v>
      </c>
      <c r="B25" s="36">
        <v>4000000</v>
      </c>
      <c r="C25" s="57" t="s">
        <v>28</v>
      </c>
    </row>
    <row r="26" spans="1:6" ht="30" customHeight="1" x14ac:dyDescent="0.25">
      <c r="A26" s="37" t="s">
        <v>29</v>
      </c>
      <c r="B26" s="38">
        <v>300000</v>
      </c>
      <c r="C26" s="57" t="s">
        <v>30</v>
      </c>
      <c r="F26" s="20"/>
    </row>
    <row r="27" spans="1:6" x14ac:dyDescent="0.25">
      <c r="A27" s="39" t="s">
        <v>33</v>
      </c>
      <c r="B27" s="40">
        <f>B25-B26</f>
        <v>3700000</v>
      </c>
      <c r="C27" s="51" t="s">
        <v>34</v>
      </c>
      <c r="F27" s="19"/>
    </row>
    <row r="28" spans="1:6" x14ac:dyDescent="0.25">
      <c r="A28" s="39"/>
      <c r="C28" s="25"/>
      <c r="F28" s="20"/>
    </row>
    <row r="29" spans="1:6" x14ac:dyDescent="0.25">
      <c r="A29" s="24" t="s">
        <v>39</v>
      </c>
      <c r="B29" s="34"/>
      <c r="C29" s="25"/>
      <c r="F29" s="20"/>
    </row>
    <row r="30" spans="1:6" ht="30" customHeight="1" x14ac:dyDescent="0.25">
      <c r="A30" s="37" t="s">
        <v>31</v>
      </c>
      <c r="B30" s="38">
        <v>1000000</v>
      </c>
      <c r="C30" s="57" t="s">
        <v>32</v>
      </c>
      <c r="F30" s="20"/>
    </row>
    <row r="31" spans="1:6" x14ac:dyDescent="0.25">
      <c r="A31" s="39" t="s">
        <v>38</v>
      </c>
      <c r="B31" s="40">
        <f>B30*B19</f>
        <v>3000000000</v>
      </c>
      <c r="C31" s="58" t="s">
        <v>86</v>
      </c>
      <c r="F31" s="20"/>
    </row>
    <row r="32" spans="1:6" x14ac:dyDescent="0.25">
      <c r="A32" s="39"/>
      <c r="C32" s="25"/>
      <c r="F32" s="20"/>
    </row>
    <row r="33" spans="1:6" x14ac:dyDescent="0.25">
      <c r="A33" s="39" t="s">
        <v>40</v>
      </c>
      <c r="C33" s="25"/>
      <c r="F33" s="20"/>
    </row>
    <row r="34" spans="1:6" x14ac:dyDescent="0.25">
      <c r="A34" s="24" t="s">
        <v>11</v>
      </c>
      <c r="C34" s="27"/>
    </row>
    <row r="35" spans="1:6" x14ac:dyDescent="0.25">
      <c r="A35" s="25" t="s">
        <v>42</v>
      </c>
      <c r="B35" s="28">
        <v>0.5</v>
      </c>
      <c r="C35" s="25" t="s">
        <v>43</v>
      </c>
    </row>
    <row r="36" spans="1:6" x14ac:dyDescent="0.25">
      <c r="A36" s="41" t="s">
        <v>12</v>
      </c>
      <c r="B36" s="42">
        <v>50000</v>
      </c>
      <c r="C36" s="25" t="s">
        <v>44</v>
      </c>
    </row>
    <row r="37" spans="1:6" x14ac:dyDescent="0.25">
      <c r="A37" s="39" t="s">
        <v>45</v>
      </c>
      <c r="B37" s="40">
        <f>B15*B16*B35*B36</f>
        <v>1500000000</v>
      </c>
      <c r="C37" s="51" t="s">
        <v>46</v>
      </c>
    </row>
    <row r="38" spans="1:6" x14ac:dyDescent="0.25">
      <c r="A38" s="39"/>
      <c r="B38" s="2"/>
      <c r="C38" s="25"/>
    </row>
    <row r="39" spans="1:6" x14ac:dyDescent="0.25">
      <c r="A39" s="43" t="s">
        <v>47</v>
      </c>
      <c r="C39" s="25"/>
    </row>
    <row r="40" spans="1:6" x14ac:dyDescent="0.25">
      <c r="A40" s="44" t="s">
        <v>48</v>
      </c>
      <c r="B40" s="45">
        <v>5</v>
      </c>
      <c r="C40" s="25" t="s">
        <v>49</v>
      </c>
    </row>
    <row r="41" spans="1:6" x14ac:dyDescent="0.25">
      <c r="A41" s="44" t="s">
        <v>50</v>
      </c>
      <c r="B41" s="46">
        <v>100000000</v>
      </c>
      <c r="C41" s="25" t="s">
        <v>51</v>
      </c>
    </row>
    <row r="42" spans="1:6" x14ac:dyDescent="0.25">
      <c r="A42" s="44" t="s">
        <v>52</v>
      </c>
      <c r="B42" s="46">
        <v>50000000</v>
      </c>
      <c r="C42" s="25" t="s">
        <v>53</v>
      </c>
    </row>
    <row r="43" spans="1:6" x14ac:dyDescent="0.25">
      <c r="A43" s="47" t="s">
        <v>54</v>
      </c>
      <c r="B43" s="40">
        <f>B40*(B41+B42)</f>
        <v>750000000</v>
      </c>
      <c r="C43" s="51" t="s">
        <v>55</v>
      </c>
    </row>
    <row r="44" spans="1:6" x14ac:dyDescent="0.25">
      <c r="A44" s="25"/>
      <c r="C44" s="25"/>
    </row>
    <row r="45" spans="1:6" x14ac:dyDescent="0.25">
      <c r="A45" s="24" t="s">
        <v>56</v>
      </c>
      <c r="B45" s="48"/>
      <c r="C45" s="25"/>
    </row>
    <row r="46" spans="1:6" x14ac:dyDescent="0.25">
      <c r="A46" s="49" t="s">
        <v>57</v>
      </c>
      <c r="B46" s="46">
        <v>50000000</v>
      </c>
      <c r="C46" s="25" t="s">
        <v>58</v>
      </c>
    </row>
    <row r="47" spans="1:6" x14ac:dyDescent="0.25">
      <c r="A47" s="49" t="s">
        <v>59</v>
      </c>
      <c r="B47" s="50">
        <v>20000000</v>
      </c>
      <c r="C47" s="25" t="s">
        <v>60</v>
      </c>
    </row>
    <row r="48" spans="1:6" x14ac:dyDescent="0.25">
      <c r="A48" s="44" t="s">
        <v>61</v>
      </c>
      <c r="B48" s="40">
        <f>B46+B47</f>
        <v>70000000</v>
      </c>
      <c r="C48" s="51" t="s">
        <v>62</v>
      </c>
    </row>
    <row r="50" spans="1:13" ht="15.75" x14ac:dyDescent="0.25">
      <c r="B50" s="55" t="s">
        <v>79</v>
      </c>
    </row>
    <row r="51" spans="1:13" ht="21" x14ac:dyDescent="0.35">
      <c r="A51" s="6" t="s">
        <v>1</v>
      </c>
      <c r="B51" t="s">
        <v>0</v>
      </c>
      <c r="C51" t="s">
        <v>13</v>
      </c>
      <c r="D51" s="53" t="s">
        <v>63</v>
      </c>
      <c r="E51" s="53" t="s">
        <v>64</v>
      </c>
      <c r="F51" s="53" t="s">
        <v>65</v>
      </c>
      <c r="G51" s="53" t="s">
        <v>66</v>
      </c>
      <c r="H51" s="53" t="s">
        <v>67</v>
      </c>
      <c r="I51" s="53" t="s">
        <v>68</v>
      </c>
      <c r="J51" s="53" t="s">
        <v>69</v>
      </c>
      <c r="K51" s="53" t="s">
        <v>70</v>
      </c>
      <c r="L51" s="53" t="s">
        <v>71</v>
      </c>
      <c r="M51" s="53" t="s">
        <v>72</v>
      </c>
    </row>
    <row r="52" spans="1:13" x14ac:dyDescent="0.25">
      <c r="A52" s="7" t="s">
        <v>80</v>
      </c>
      <c r="B52" s="8">
        <f t="shared" ref="B52:B57" si="0">D52+NPV($B$12,E52:M52)</f>
        <v>70</v>
      </c>
      <c r="C52" s="8">
        <f>SUM(D52:K52)</f>
        <v>70</v>
      </c>
      <c r="D52" s="8">
        <f>B48/10^6</f>
        <v>70</v>
      </c>
      <c r="E52" s="54"/>
      <c r="F52" s="54"/>
      <c r="G52" s="54"/>
      <c r="H52" s="54"/>
      <c r="I52" s="54"/>
      <c r="J52" s="54"/>
      <c r="K52" s="54"/>
      <c r="L52" s="54"/>
      <c r="M52" s="54"/>
    </row>
    <row r="53" spans="1:13" x14ac:dyDescent="0.25">
      <c r="A53" s="7" t="s">
        <v>81</v>
      </c>
      <c r="B53" s="8">
        <f t="shared" si="0"/>
        <v>5000</v>
      </c>
      <c r="C53" s="8">
        <f>SUM(D53:K53)</f>
        <v>5000</v>
      </c>
      <c r="D53" s="8">
        <f>B15*B36/10^6</f>
        <v>5000</v>
      </c>
      <c r="E53" s="54"/>
      <c r="F53" s="54"/>
      <c r="G53" s="54"/>
      <c r="H53" s="54"/>
      <c r="I53" s="54"/>
      <c r="J53" s="54"/>
      <c r="K53" s="54"/>
      <c r="L53" s="54"/>
      <c r="M53" s="54"/>
    </row>
    <row r="54" spans="1:13" x14ac:dyDescent="0.25">
      <c r="A54" s="7" t="s">
        <v>73</v>
      </c>
      <c r="B54" s="8">
        <f t="shared" si="0"/>
        <v>11272.848373196823</v>
      </c>
      <c r="C54" s="8">
        <f>SUM(D54:K54)</f>
        <v>12000</v>
      </c>
      <c r="D54" s="8">
        <f>$B$15*$B$35*$B$16*$B$36/10^6</f>
        <v>1500</v>
      </c>
      <c r="E54" s="8">
        <f t="shared" ref="E54:M54" si="1">$B$15*$B$35*$B$16*$B$36/10^6</f>
        <v>1500</v>
      </c>
      <c r="F54" s="8">
        <f t="shared" si="1"/>
        <v>1500</v>
      </c>
      <c r="G54" s="8">
        <f t="shared" si="1"/>
        <v>1500</v>
      </c>
      <c r="H54" s="8">
        <f t="shared" si="1"/>
        <v>1500</v>
      </c>
      <c r="I54" s="8">
        <f t="shared" si="1"/>
        <v>1500</v>
      </c>
      <c r="J54" s="8">
        <f t="shared" si="1"/>
        <v>1500</v>
      </c>
      <c r="K54" s="8">
        <f t="shared" si="1"/>
        <v>1500</v>
      </c>
      <c r="L54" s="8">
        <f t="shared" si="1"/>
        <v>1500</v>
      </c>
      <c r="M54" s="8">
        <f t="shared" si="1"/>
        <v>1500</v>
      </c>
    </row>
    <row r="55" spans="1:13" x14ac:dyDescent="0.25">
      <c r="A55" s="7" t="s">
        <v>74</v>
      </c>
      <c r="B55" s="8">
        <f t="shared" si="0"/>
        <v>5636.4241865984113</v>
      </c>
      <c r="C55" s="8">
        <f>SUM(D55:K55)</f>
        <v>6000</v>
      </c>
      <c r="D55" s="8">
        <f>$B$43/10^6</f>
        <v>750</v>
      </c>
      <c r="E55" s="8">
        <f t="shared" ref="E55:M55" si="2">$B$43/10^6</f>
        <v>750</v>
      </c>
      <c r="F55" s="8">
        <f t="shared" si="2"/>
        <v>750</v>
      </c>
      <c r="G55" s="8">
        <f t="shared" si="2"/>
        <v>750</v>
      </c>
      <c r="H55" s="8">
        <f t="shared" si="2"/>
        <v>750</v>
      </c>
      <c r="I55" s="8">
        <f t="shared" si="2"/>
        <v>750</v>
      </c>
      <c r="J55" s="8">
        <f t="shared" si="2"/>
        <v>750</v>
      </c>
      <c r="K55" s="8">
        <f t="shared" si="2"/>
        <v>750</v>
      </c>
      <c r="L55" s="8">
        <f t="shared" si="2"/>
        <v>750</v>
      </c>
      <c r="M55" s="8">
        <f t="shared" si="2"/>
        <v>750</v>
      </c>
    </row>
    <row r="56" spans="1:13" x14ac:dyDescent="0.25">
      <c r="A56" s="7" t="s">
        <v>3</v>
      </c>
      <c r="B56" s="8">
        <f t="shared" si="0"/>
        <v>5805.0719336789125</v>
      </c>
      <c r="C56" s="8">
        <f>SUM(D56:K56)</f>
        <v>6237</v>
      </c>
      <c r="D56" s="8"/>
      <c r="E56" s="8">
        <f>$B$22*$B$26/10^6</f>
        <v>891</v>
      </c>
      <c r="F56" s="8">
        <f t="shared" ref="F56:M56" si="3">$B$22*$B$26/10^6</f>
        <v>891</v>
      </c>
      <c r="G56" s="8">
        <f t="shared" si="3"/>
        <v>891</v>
      </c>
      <c r="H56" s="8">
        <f t="shared" si="3"/>
        <v>891</v>
      </c>
      <c r="I56" s="8">
        <f t="shared" si="3"/>
        <v>891</v>
      </c>
      <c r="J56" s="8">
        <f t="shared" si="3"/>
        <v>891</v>
      </c>
      <c r="K56" s="8">
        <f t="shared" si="3"/>
        <v>891</v>
      </c>
      <c r="L56" s="8">
        <f t="shared" si="3"/>
        <v>891</v>
      </c>
      <c r="M56" s="8">
        <f t="shared" si="3"/>
        <v>891</v>
      </c>
    </row>
    <row r="57" spans="1:13" x14ac:dyDescent="0.25">
      <c r="A57" s="17" t="s">
        <v>5</v>
      </c>
      <c r="B57" s="18">
        <f t="shared" si="0"/>
        <v>27784.344493474146</v>
      </c>
      <c r="C57" s="18">
        <f t="shared" ref="C57:M57" si="4">SUM(C52:C56)</f>
        <v>29307</v>
      </c>
      <c r="D57" s="18">
        <f t="shared" si="4"/>
        <v>7320</v>
      </c>
      <c r="E57" s="18">
        <f t="shared" si="4"/>
        <v>3141</v>
      </c>
      <c r="F57" s="18">
        <f t="shared" si="4"/>
        <v>3141</v>
      </c>
      <c r="G57" s="18">
        <f t="shared" si="4"/>
        <v>3141</v>
      </c>
      <c r="H57" s="18">
        <f t="shared" si="4"/>
        <v>3141</v>
      </c>
      <c r="I57" s="18">
        <f t="shared" si="4"/>
        <v>3141</v>
      </c>
      <c r="J57" s="18">
        <f t="shared" si="4"/>
        <v>3141</v>
      </c>
      <c r="K57" s="18">
        <f t="shared" si="4"/>
        <v>3141</v>
      </c>
      <c r="L57" s="18">
        <f t="shared" si="4"/>
        <v>3141</v>
      </c>
      <c r="M57" s="18">
        <f t="shared" si="4"/>
        <v>3141</v>
      </c>
    </row>
    <row r="58" spans="1:13" s="23" customFormat="1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21" x14ac:dyDescent="0.35">
      <c r="A59" s="6" t="s">
        <v>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11" t="s">
        <v>10</v>
      </c>
      <c r="B60" s="10">
        <f>D60+NPV($B$12,E60:M60)</f>
        <v>61325.793724096002</v>
      </c>
      <c r="C60" s="10">
        <f>SUM(D60:K60)</f>
        <v>65934</v>
      </c>
      <c r="D60" s="9"/>
      <c r="E60" s="10">
        <v>0</v>
      </c>
      <c r="F60" s="10">
        <f>$B$22*$B$27/10^6</f>
        <v>10989</v>
      </c>
      <c r="G60" s="10">
        <f t="shared" ref="G60:M60" si="5">$B$22*$B$27/10^6</f>
        <v>10989</v>
      </c>
      <c r="H60" s="10">
        <f t="shared" si="5"/>
        <v>10989</v>
      </c>
      <c r="I60" s="10">
        <f t="shared" si="5"/>
        <v>10989</v>
      </c>
      <c r="J60" s="10">
        <f t="shared" si="5"/>
        <v>10989</v>
      </c>
      <c r="K60" s="10">
        <f t="shared" si="5"/>
        <v>10989</v>
      </c>
      <c r="L60" s="10">
        <f t="shared" si="5"/>
        <v>10989</v>
      </c>
      <c r="M60" s="10">
        <f t="shared" si="5"/>
        <v>10989</v>
      </c>
    </row>
    <row r="61" spans="1:13" x14ac:dyDescent="0.25">
      <c r="A61" s="11" t="s">
        <v>15</v>
      </c>
      <c r="B61" s="10">
        <f>D61+NPV($B$12,E61:M61)</f>
        <v>19545.696746393645</v>
      </c>
      <c r="C61" s="10">
        <f>SUM(D61:K61)</f>
        <v>21000</v>
      </c>
      <c r="D61" s="9"/>
      <c r="E61" s="10">
        <f>$B$31/10^6</f>
        <v>3000</v>
      </c>
      <c r="F61" s="10">
        <f t="shared" ref="F61:M61" si="6">$B$31/10^6</f>
        <v>3000</v>
      </c>
      <c r="G61" s="10">
        <f t="shared" si="6"/>
        <v>3000</v>
      </c>
      <c r="H61" s="10">
        <f t="shared" si="6"/>
        <v>3000</v>
      </c>
      <c r="I61" s="10">
        <f t="shared" si="6"/>
        <v>3000</v>
      </c>
      <c r="J61" s="10">
        <f t="shared" si="6"/>
        <v>3000</v>
      </c>
      <c r="K61" s="10">
        <f t="shared" si="6"/>
        <v>3000</v>
      </c>
      <c r="L61" s="10">
        <f t="shared" si="6"/>
        <v>3000</v>
      </c>
      <c r="M61" s="10">
        <f t="shared" si="6"/>
        <v>3000</v>
      </c>
    </row>
    <row r="62" spans="1:13" x14ac:dyDescent="0.25">
      <c r="A62" s="12" t="s">
        <v>4</v>
      </c>
      <c r="B62" s="13">
        <f>D62+NPV($B$12,E62:M62)</f>
        <v>80871.490470489647</v>
      </c>
      <c r="C62" s="13">
        <f>SUM(C60:C61)</f>
        <v>86934</v>
      </c>
      <c r="D62" s="14"/>
      <c r="E62" s="13">
        <f>SUM(E60:E61)</f>
        <v>3000</v>
      </c>
      <c r="F62" s="13">
        <f t="shared" ref="F62:M62" si="7">SUM(F60:F61)</f>
        <v>13989</v>
      </c>
      <c r="G62" s="13">
        <f t="shared" si="7"/>
        <v>13989</v>
      </c>
      <c r="H62" s="13">
        <f t="shared" si="7"/>
        <v>13989</v>
      </c>
      <c r="I62" s="13">
        <f t="shared" si="7"/>
        <v>13989</v>
      </c>
      <c r="J62" s="13">
        <f t="shared" si="7"/>
        <v>13989</v>
      </c>
      <c r="K62" s="13">
        <f t="shared" si="7"/>
        <v>13989</v>
      </c>
      <c r="L62" s="13">
        <f t="shared" si="7"/>
        <v>13989</v>
      </c>
      <c r="M62" s="13">
        <f t="shared" si="7"/>
        <v>13989</v>
      </c>
    </row>
    <row r="63" spans="1:13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4" t="s">
        <v>14</v>
      </c>
      <c r="B65" s="15">
        <f t="shared" ref="B65:M65" si="8">B62-B57</f>
        <v>53087.145977015505</v>
      </c>
      <c r="C65" s="16">
        <f t="shared" si="8"/>
        <v>57627</v>
      </c>
      <c r="D65" s="16">
        <f t="shared" si="8"/>
        <v>-7320</v>
      </c>
      <c r="E65" s="16">
        <f t="shared" si="8"/>
        <v>-141</v>
      </c>
      <c r="F65" s="16">
        <f t="shared" si="8"/>
        <v>10848</v>
      </c>
      <c r="G65" s="16">
        <f t="shared" si="8"/>
        <v>10848</v>
      </c>
      <c r="H65" s="16">
        <f t="shared" si="8"/>
        <v>10848</v>
      </c>
      <c r="I65" s="16">
        <f t="shared" si="8"/>
        <v>10848</v>
      </c>
      <c r="J65" s="16">
        <f t="shared" si="8"/>
        <v>10848</v>
      </c>
      <c r="K65" s="16">
        <f t="shared" si="8"/>
        <v>10848</v>
      </c>
      <c r="L65" s="16">
        <f t="shared" si="8"/>
        <v>10848</v>
      </c>
      <c r="M65" s="16">
        <f t="shared" si="8"/>
        <v>10848</v>
      </c>
    </row>
    <row r="66" spans="1:13" x14ac:dyDescent="0.25">
      <c r="A66" s="4" t="s">
        <v>7</v>
      </c>
      <c r="B66" s="5">
        <f>B62/B57</f>
        <v>2.9106855657323267</v>
      </c>
      <c r="C66" s="3"/>
      <c r="D66" s="3"/>
      <c r="E66" s="3"/>
      <c r="F66" s="3"/>
      <c r="G66" s="3"/>
      <c r="H66" s="3"/>
      <c r="I66" s="3"/>
      <c r="J66" s="3"/>
      <c r="K66" s="3"/>
    </row>
    <row r="67" spans="1:13" x14ac:dyDescent="0.25">
      <c r="A67" s="4" t="s">
        <v>6</v>
      </c>
      <c r="B67" s="5">
        <f>IRR(D65:M65)</f>
        <v>0.80511014105899492</v>
      </c>
      <c r="C67" s="3"/>
      <c r="D67" s="3"/>
      <c r="E67" s="3"/>
      <c r="F67" s="3"/>
      <c r="G67" s="3"/>
      <c r="H67" s="3"/>
      <c r="I67" s="3"/>
      <c r="J67" s="3"/>
      <c r="K67" s="3"/>
    </row>
    <row r="68" spans="1:13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pageMargins left="0.7" right="0.7" top="0.75" bottom="0.75" header="0.3" footer="0.3"/>
  <pageSetup paperSize="9" orientation="portrait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Cost-benefit analysis-brucella</vt:lpstr>
    </vt:vector>
  </TitlesOfParts>
  <Company>FAO of the 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HinrichsJ</dc:creator>
  <cp:lastModifiedBy>Evan Sergeant</cp:lastModifiedBy>
  <dcterms:created xsi:type="dcterms:W3CDTF">2013-03-04T10:59:31Z</dcterms:created>
  <dcterms:modified xsi:type="dcterms:W3CDTF">2014-07-17T05:17:59Z</dcterms:modified>
</cp:coreProperties>
</file>